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homage_partiel_mars2020\Sauvegarde\"/>
    </mc:Choice>
  </mc:AlternateContent>
  <xr:revisionPtr revIDLastSave="0" documentId="13_ncr:1_{04A9E1C5-CC9A-4B1D-8A4C-CF0810343B39}" xr6:coauthVersionLast="45" xr6:coauthVersionMax="45" xr10:uidLastSave="{00000000-0000-0000-0000-000000000000}"/>
  <bookViews>
    <workbookView xWindow="-120" yWindow="-120" windowWidth="29040" windowHeight="15840" xr2:uid="{3E7E5E18-C735-4C67-9DF1-07D7C1F0CE30}"/>
  </bookViews>
  <sheets>
    <sheet name="Chomage_Partiel__Mars2020" sheetId="2" r:id="rId1"/>
    <sheet name="Chomage_Partiel_Syntec_Mars2020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" i="2" l="1"/>
  <c r="M2" i="4"/>
  <c r="C11" i="4" l="1"/>
  <c r="C21" i="2" l="1"/>
  <c r="C13" i="4"/>
  <c r="C18" i="4" s="1"/>
  <c r="C22" i="4"/>
  <c r="C24" i="4" s="1"/>
  <c r="A7" i="4"/>
  <c r="M7" i="4"/>
  <c r="C4" i="4"/>
  <c r="E4" i="4" s="1"/>
  <c r="G4" i="4" s="1"/>
  <c r="I26" i="4" s="1"/>
  <c r="E3" i="4"/>
  <c r="C20" i="4" l="1"/>
  <c r="E6" i="4"/>
  <c r="G11" i="4"/>
  <c r="G22" i="4" s="1"/>
  <c r="G6" i="4"/>
  <c r="C26" i="4"/>
  <c r="A26" i="4"/>
  <c r="O18" i="4" l="1"/>
  <c r="A28" i="4"/>
  <c r="C28" i="4"/>
  <c r="G16" i="4"/>
  <c r="G18" i="4" s="1"/>
  <c r="G20" i="4" s="1"/>
  <c r="E9" i="4"/>
  <c r="E11" i="4" s="1"/>
  <c r="G24" i="4"/>
  <c r="E13" i="4" l="1"/>
  <c r="E22" i="4"/>
  <c r="C23" i="2"/>
  <c r="A25" i="2" s="1"/>
  <c r="C11" i="2"/>
  <c r="C4" i="2"/>
  <c r="E4" i="2" l="1"/>
  <c r="G4" i="2"/>
  <c r="C19" i="2"/>
  <c r="C18" i="2"/>
  <c r="I22" i="4"/>
  <c r="N18" i="4" s="1"/>
  <c r="E24" i="4"/>
  <c r="I24" i="4" s="1"/>
  <c r="I28" i="4" s="1"/>
  <c r="I30" i="4" s="1"/>
  <c r="E18" i="4"/>
  <c r="E20" i="4"/>
  <c r="I20" i="4" s="1"/>
  <c r="C25" i="2"/>
  <c r="A27" i="2" s="1"/>
  <c r="E3" i="2"/>
  <c r="E6" i="2" l="1"/>
  <c r="E11" i="2" s="1"/>
  <c r="M18" i="4"/>
  <c r="P18" i="4" s="1"/>
  <c r="K20" i="4"/>
  <c r="G30" i="4"/>
  <c r="G6" i="2"/>
  <c r="G21" i="2" s="1"/>
  <c r="C27" i="2"/>
  <c r="E21" i="2" l="1"/>
  <c r="I25" i="2"/>
  <c r="O19" i="2" s="1"/>
  <c r="G23" i="2"/>
  <c r="G15" i="2"/>
  <c r="I32" i="4"/>
  <c r="K32" i="4" s="1"/>
  <c r="G32" i="4"/>
  <c r="K30" i="4"/>
  <c r="G18" i="2" l="1"/>
  <c r="G19" i="2" s="1"/>
  <c r="E18" i="2" l="1"/>
  <c r="E19" i="2" l="1"/>
  <c r="I19" i="2" s="1"/>
  <c r="E23" i="2"/>
  <c r="I23" i="2" s="1"/>
  <c r="I27" i="2" s="1"/>
  <c r="I21" i="2"/>
  <c r="N19" i="2" s="1"/>
  <c r="M19" i="2" l="1"/>
  <c r="P19" i="2" s="1"/>
  <c r="K19" i="2"/>
</calcChain>
</file>

<file path=xl/sharedStrings.xml><?xml version="1.0" encoding="utf-8"?>
<sst xmlns="http://schemas.openxmlformats.org/spreadsheetml/2006/main" count="100" uniqueCount="59">
  <si>
    <t>Taux horaire brut</t>
  </si>
  <si>
    <t>partie travaillée</t>
  </si>
  <si>
    <t>Chomage partiel</t>
  </si>
  <si>
    <t>Equivalent heures</t>
  </si>
  <si>
    <t>Salaire mensuel</t>
  </si>
  <si>
    <t>Partie Non travaillée</t>
  </si>
  <si>
    <t>Total</t>
  </si>
  <si>
    <t>Total Charges salariales</t>
  </si>
  <si>
    <t>Salaire chargé</t>
  </si>
  <si>
    <t>Ecart</t>
  </si>
  <si>
    <t>Champs à saisir</t>
  </si>
  <si>
    <t>Chomage partiel : Charges salariales</t>
  </si>
  <si>
    <t>Ch. salariale (Taux Moyen 22%)</t>
  </si>
  <si>
    <t>Salaire net (hors prélèvement à la source)</t>
  </si>
  <si>
    <t>Perte salaire Net</t>
  </si>
  <si>
    <t>CSG/CRDS
6,70% sur 98,25% du brut</t>
  </si>
  <si>
    <t>Chômage partiel
Total Salaire Net</t>
  </si>
  <si>
    <t>Coût employeur</t>
  </si>
  <si>
    <t>Evolution taux salaire</t>
  </si>
  <si>
    <t xml:space="preserve">Remboursement Etat </t>
  </si>
  <si>
    <t>Synthèse trésorerie</t>
  </si>
  <si>
    <t>Versé au salarié
fin du mois</t>
  </si>
  <si>
    <t>Impact 
trésorerie</t>
  </si>
  <si>
    <t>Infos Syntec</t>
  </si>
  <si>
    <t>http://carole-vercheyre-grard.fr/syntec-il-existe-des-dispositions-specifiques-pour-le-chomage-partiel/</t>
  </si>
  <si>
    <t>Salaire</t>
  </si>
  <si>
    <t>Grille Syntec</t>
  </si>
  <si>
    <t>Taux 
Chôme partiel</t>
  </si>
  <si>
    <t>&lt;= 2 000 €</t>
  </si>
  <si>
    <t>&gt; 3 428 €</t>
  </si>
  <si>
    <t>Réintégration sociale activité partielle</t>
  </si>
  <si>
    <t>Base calcul cotisation</t>
  </si>
  <si>
    <t>(1)</t>
  </si>
  <si>
    <t>(2)</t>
  </si>
  <si>
    <t>(3)</t>
  </si>
  <si>
    <t>Il convient donc de réintégrer la partie qui exéde 70% dans la base de cotisation au taux normal.</t>
  </si>
  <si>
    <t>(2) calcul de l'indemnité Syntec suivant grille ci-dessous</t>
  </si>
  <si>
    <r>
      <t>&gt; 2 000 € ou &lt;= 3 428</t>
    </r>
    <r>
      <rPr>
        <vertAlign val="superscript"/>
        <sz val="11"/>
        <color theme="1"/>
        <rFont val="Calibri"/>
        <family val="2"/>
        <scheme val="minor"/>
      </rPr>
      <t xml:space="preserve"> (4) €</t>
    </r>
  </si>
  <si>
    <r>
      <rPr>
        <vertAlign val="superscript"/>
        <sz val="11"/>
        <color theme="1"/>
        <rFont val="Calibri"/>
        <family val="2"/>
        <scheme val="minor"/>
      </rPr>
      <t>(4)</t>
    </r>
    <r>
      <rPr>
        <sz val="11"/>
        <color theme="1"/>
        <rFont val="Calibri"/>
        <family val="2"/>
        <scheme val="minor"/>
      </rPr>
      <t xml:space="preserve"> 3 428 € = plafond Sécurité Sociale</t>
    </r>
  </si>
  <si>
    <r>
      <rPr>
        <vertAlign val="superscript"/>
        <sz val="11"/>
        <color theme="1"/>
        <rFont val="Calibri"/>
        <family val="2"/>
        <scheme val="minor"/>
      </rPr>
      <t xml:space="preserve">(5) </t>
    </r>
    <r>
      <rPr>
        <sz val="11"/>
        <color theme="1"/>
        <rFont val="Calibri"/>
        <family val="2"/>
        <scheme val="minor"/>
      </rPr>
      <t>Cotisations à régler
le 15 du mois suivant</t>
    </r>
  </si>
  <si>
    <r>
      <rPr>
        <i/>
        <vertAlign val="superscript"/>
        <sz val="11"/>
        <color theme="1"/>
        <rFont val="Calibri"/>
        <family val="2"/>
        <scheme val="minor"/>
      </rPr>
      <t>(5)</t>
    </r>
    <r>
      <rPr>
        <i/>
        <sz val="11"/>
        <color theme="1"/>
        <rFont val="Calibri"/>
        <family val="2"/>
        <scheme val="minor"/>
      </rPr>
      <t xml:space="preserve"> sous réserve demande décalage paiement cotisation</t>
    </r>
  </si>
  <si>
    <r>
      <rPr>
        <i/>
        <vertAlign val="superscript"/>
        <sz val="11"/>
        <color theme="1"/>
        <rFont val="Calibri"/>
        <family val="2"/>
        <scheme val="minor"/>
      </rPr>
      <t xml:space="preserve">(6) </t>
    </r>
    <r>
      <rPr>
        <i/>
        <sz val="11"/>
        <color theme="1"/>
        <rFont val="Calibri"/>
        <family val="2"/>
        <scheme val="minor"/>
      </rPr>
      <t xml:space="preserve">période de remboursement à valider. 
</t>
    </r>
  </si>
  <si>
    <r>
      <rPr>
        <vertAlign val="superscript"/>
        <sz val="11"/>
        <color theme="1"/>
        <rFont val="Calibri"/>
        <family val="2"/>
        <scheme val="minor"/>
      </rPr>
      <t xml:space="preserve">(6) </t>
    </r>
    <r>
      <rPr>
        <sz val="11"/>
        <color theme="1"/>
        <rFont val="Calibri"/>
        <family val="2"/>
        <scheme val="minor"/>
      </rPr>
      <t>Rappel 
Rbt Etat</t>
    </r>
  </si>
  <si>
    <t xml:space="preserve">(3) La base de cotisations "chômage partiel - partie Non travaillée" est limitée au taux légal soit 70% </t>
  </si>
  <si>
    <t>Référence Tps complet</t>
  </si>
  <si>
    <t>(7)</t>
  </si>
  <si>
    <t xml:space="preserve">(7) le Remboursement de l'Etat est plafonné à 70% </t>
  </si>
  <si>
    <t>(a)</t>
  </si>
  <si>
    <t>(b)</t>
  </si>
  <si>
    <t xml:space="preserve">Il s'agit ici d'estimer l'impact du chômage partiel. </t>
  </si>
  <si>
    <t>Période remboursement "standard" : 15 jours</t>
  </si>
  <si>
    <t>(2) calcul de l'indemnité chômage partiel</t>
  </si>
  <si>
    <t xml:space="preserve">(2) Chomage partiel - Indemnité  Syntec : </t>
  </si>
  <si>
    <t>Charges Patronales 
(a)Taux normal Moyen : 35,70%
(b)Taux chomage partiel  : 0 %</t>
  </si>
  <si>
    <t>Charges Patronales 
(a)Taux normal Moyen : 35,70%
(b)Taux chomage partiel Moyen : 0 %</t>
  </si>
  <si>
    <t>Smic horaire :</t>
  </si>
  <si>
    <t xml:space="preserve">De fait, quelques différences peuvent survenir en fonction de différences </t>
  </si>
  <si>
    <t>de taux de prévoyance ….</t>
  </si>
  <si>
    <t>Donc plafonné à 70% soit 4 849,27 € mensuel.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</si>
</sst>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_ ;[Red]\-#,##0.00\ "/>
    <numFmt numFmtId="165" formatCode="#,##0.00_ ;\-#,##0.00\ "/>
    <numFmt numFmtId="166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3" xfId="0" applyBorder="1"/>
    <xf numFmtId="0" fontId="0" fillId="0" borderId="0" xfId="0" applyBorder="1"/>
    <xf numFmtId="1" fontId="0" fillId="0" borderId="0" xfId="0" applyNumberFormat="1" applyBorder="1"/>
    <xf numFmtId="0" fontId="0" fillId="0" borderId="0" xfId="0" applyBorder="1" applyAlignment="1">
      <alignment vertical="top"/>
    </xf>
    <xf numFmtId="44" fontId="0" fillId="0" borderId="0" xfId="0" applyNumberFormat="1" applyBorder="1"/>
    <xf numFmtId="44" fontId="0" fillId="0" borderId="0" xfId="0" applyNumberFormat="1"/>
    <xf numFmtId="4" fontId="0" fillId="0" borderId="0" xfId="0" applyNumberFormat="1" applyBorder="1"/>
    <xf numFmtId="4" fontId="0" fillId="0" borderId="3" xfId="0" applyNumberFormat="1" applyBorder="1"/>
    <xf numFmtId="4" fontId="0" fillId="2" borderId="0" xfId="0" applyNumberFormat="1" applyFont="1" applyFill="1" applyBorder="1"/>
    <xf numFmtId="0" fontId="0" fillId="0" borderId="1" xfId="0" applyBorder="1" applyAlignment="1">
      <alignment vertical="top"/>
    </xf>
    <xf numFmtId="4" fontId="0" fillId="0" borderId="0" xfId="0" applyNumberFormat="1"/>
    <xf numFmtId="0" fontId="0" fillId="0" borderId="0" xfId="0" applyBorder="1" applyAlignment="1">
      <alignment wrapText="1"/>
    </xf>
    <xf numFmtId="0" fontId="0" fillId="3" borderId="0" xfId="0" applyFill="1"/>
    <xf numFmtId="4" fontId="0" fillId="3" borderId="3" xfId="0" applyNumberFormat="1" applyFill="1" applyBorder="1"/>
    <xf numFmtId="4" fontId="0" fillId="3" borderId="0" xfId="0" applyNumberFormat="1" applyFill="1" applyBorder="1"/>
    <xf numFmtId="4" fontId="0" fillId="3" borderId="4" xfId="0" applyNumberFormat="1" applyFill="1" applyBorder="1"/>
    <xf numFmtId="4" fontId="0" fillId="3" borderId="2" xfId="0" applyNumberFormat="1" applyFill="1" applyBorder="1"/>
    <xf numFmtId="0" fontId="0" fillId="3" borderId="0" xfId="0" applyFill="1" applyBorder="1"/>
    <xf numFmtId="4" fontId="0" fillId="3" borderId="0" xfId="0" applyNumberFormat="1" applyFont="1" applyFill="1" applyBorder="1"/>
    <xf numFmtId="0" fontId="0" fillId="3" borderId="0" xfId="0" applyFill="1" applyBorder="1" applyAlignment="1">
      <alignment wrapText="1"/>
    </xf>
    <xf numFmtId="0" fontId="0" fillId="2" borderId="0" xfId="0" applyFill="1"/>
    <xf numFmtId="0" fontId="0" fillId="3" borderId="4" xfId="0" applyFill="1" applyBorder="1"/>
    <xf numFmtId="4" fontId="0" fillId="2" borderId="0" xfId="0" applyNumberFormat="1" applyFill="1" applyBorder="1"/>
    <xf numFmtId="0" fontId="0" fillId="3" borderId="3" xfId="0" applyFill="1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2" xfId="0" applyFill="1" applyBorder="1"/>
    <xf numFmtId="4" fontId="0" fillId="3" borderId="0" xfId="0" applyNumberFormat="1" applyFill="1" applyBorder="1" applyAlignment="1">
      <alignment vertical="center"/>
    </xf>
    <xf numFmtId="4" fontId="0" fillId="0" borderId="16" xfId="0" applyNumberFormat="1" applyBorder="1"/>
    <xf numFmtId="0" fontId="0" fillId="3" borderId="0" xfId="0" applyFill="1" applyAlignment="1">
      <alignment vertical="center" wrapText="1"/>
    </xf>
    <xf numFmtId="4" fontId="0" fillId="3" borderId="2" xfId="0" applyNumberFormat="1" applyFill="1" applyBorder="1" applyAlignment="1">
      <alignment vertical="center"/>
    </xf>
    <xf numFmtId="0" fontId="1" fillId="0" borderId="0" xfId="0" applyFont="1"/>
    <xf numFmtId="0" fontId="0" fillId="3" borderId="0" xfId="0" applyFill="1" applyBorder="1" applyAlignment="1">
      <alignment vertical="top" wrapText="1"/>
    </xf>
    <xf numFmtId="165" fontId="0" fillId="3" borderId="0" xfId="0" applyNumberFormat="1" applyFill="1" applyBorder="1"/>
    <xf numFmtId="0" fontId="9" fillId="0" borderId="0" xfId="0" applyFont="1"/>
    <xf numFmtId="0" fontId="9" fillId="0" borderId="0" xfId="0" applyFont="1" applyAlignment="1"/>
    <xf numFmtId="0" fontId="0" fillId="0" borderId="16" xfId="0" applyBorder="1" applyAlignment="1">
      <alignment horizontal="center" vertical="top" wrapText="1"/>
    </xf>
    <xf numFmtId="0" fontId="0" fillId="0" borderId="16" xfId="0" applyBorder="1"/>
    <xf numFmtId="9" fontId="0" fillId="0" borderId="16" xfId="0" applyNumberFormat="1" applyBorder="1"/>
    <xf numFmtId="0" fontId="0" fillId="0" borderId="0" xfId="0" quotePrefix="1"/>
    <xf numFmtId="0" fontId="0" fillId="0" borderId="17" xfId="0" applyBorder="1" applyAlignment="1">
      <alignment vertical="top"/>
    </xf>
    <xf numFmtId="0" fontId="0" fillId="0" borderId="17" xfId="0" applyBorder="1" applyAlignment="1">
      <alignment vertical="top" wrapText="1"/>
    </xf>
    <xf numFmtId="4" fontId="7" fillId="2" borderId="3" xfId="0" applyNumberFormat="1" applyFont="1" applyFill="1" applyBorder="1"/>
    <xf numFmtId="4" fontId="7" fillId="2" borderId="0" xfId="0" applyNumberFormat="1" applyFont="1" applyFill="1" applyBorder="1"/>
    <xf numFmtId="4" fontId="7" fillId="3" borderId="3" xfId="0" applyNumberFormat="1" applyFont="1" applyFill="1" applyBorder="1"/>
    <xf numFmtId="0" fontId="0" fillId="3" borderId="4" xfId="0" applyFill="1" applyBorder="1" applyAlignment="1">
      <alignment horizontal="center" vertical="center"/>
    </xf>
    <xf numFmtId="4" fontId="7" fillId="3" borderId="4" xfId="0" applyNumberFormat="1" applyFont="1" applyFill="1" applyBorder="1"/>
    <xf numFmtId="0" fontId="0" fillId="3" borderId="1" xfId="0" applyFill="1" applyBorder="1"/>
    <xf numFmtId="4" fontId="0" fillId="3" borderId="1" xfId="0" applyNumberFormat="1" applyFill="1" applyBorder="1"/>
    <xf numFmtId="4" fontId="2" fillId="2" borderId="0" xfId="0" quotePrefix="1" applyNumberFormat="1" applyFont="1" applyFill="1" applyBorder="1" applyAlignment="1">
      <alignment vertical="center"/>
    </xf>
    <xf numFmtId="0" fontId="0" fillId="2" borderId="0" xfId="0" applyFill="1" applyAlignment="1">
      <alignment wrapText="1"/>
    </xf>
    <xf numFmtId="0" fontId="13" fillId="3" borderId="3" xfId="0" quotePrefix="1" applyFont="1" applyFill="1" applyBorder="1"/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0" fillId="3" borderId="2" xfId="0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0" fillId="3" borderId="4" xfId="0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3" borderId="1" xfId="0" applyFill="1" applyBorder="1" applyAlignment="1">
      <alignment vertical="center" wrapText="1"/>
    </xf>
    <xf numFmtId="0" fontId="0" fillId="4" borderId="4" xfId="0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0" fillId="4" borderId="0" xfId="0" applyFill="1" applyBorder="1"/>
    <xf numFmtId="0" fontId="0" fillId="4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" fontId="0" fillId="4" borderId="3" xfId="0" applyNumberFormat="1" applyFill="1" applyBorder="1"/>
    <xf numFmtId="4" fontId="0" fillId="4" borderId="0" xfId="0" applyNumberFormat="1" applyFill="1" applyBorder="1"/>
    <xf numFmtId="0" fontId="0" fillId="4" borderId="8" xfId="0" applyFill="1" applyBorder="1"/>
    <xf numFmtId="4" fontId="0" fillId="4" borderId="4" xfId="0" applyNumberFormat="1" applyFill="1" applyBorder="1"/>
    <xf numFmtId="4" fontId="14" fillId="4" borderId="0" xfId="0" quotePrefix="1" applyNumberFormat="1" applyFont="1" applyFill="1" applyBorder="1"/>
    <xf numFmtId="4" fontId="0" fillId="4" borderId="7" xfId="0" applyNumberFormat="1" applyFill="1" applyBorder="1"/>
    <xf numFmtId="0" fontId="0" fillId="4" borderId="3" xfId="0" applyFill="1" applyBorder="1"/>
    <xf numFmtId="4" fontId="14" fillId="4" borderId="0" xfId="0" quotePrefix="1" applyNumberFormat="1" applyFont="1" applyFill="1" applyBorder="1" applyAlignment="1">
      <alignment vertical="top"/>
    </xf>
    <xf numFmtId="4" fontId="0" fillId="4" borderId="7" xfId="0" applyNumberFormat="1" applyFont="1" applyFill="1" applyBorder="1"/>
    <xf numFmtId="4" fontId="0" fillId="4" borderId="0" xfId="0" applyNumberFormat="1" applyFont="1" applyFill="1" applyBorder="1"/>
    <xf numFmtId="4" fontId="0" fillId="4" borderId="0" xfId="0" applyNumberFormat="1" applyFill="1" applyBorder="1" applyAlignment="1">
      <alignment vertical="center"/>
    </xf>
    <xf numFmtId="4" fontId="2" fillId="4" borderId="7" xfId="0" applyNumberFormat="1" applyFont="1" applyFill="1" applyBorder="1" applyAlignment="1">
      <alignment vertical="center"/>
    </xf>
    <xf numFmtId="0" fontId="0" fillId="4" borderId="0" xfId="0" applyFill="1" applyBorder="1" applyAlignment="1">
      <alignment wrapText="1"/>
    </xf>
    <xf numFmtId="0" fontId="0" fillId="4" borderId="0" xfId="0" applyFill="1" applyBorder="1" applyAlignment="1">
      <alignment horizontal="right" wrapText="1"/>
    </xf>
    <xf numFmtId="0" fontId="0" fillId="4" borderId="8" xfId="0" applyFill="1" applyBorder="1" applyAlignment="1">
      <alignment horizontal="center" vertical="top"/>
    </xf>
    <xf numFmtId="164" fontId="5" fillId="4" borderId="8" xfId="0" applyNumberFormat="1" applyFont="1" applyFill="1" applyBorder="1"/>
    <xf numFmtId="44" fontId="0" fillId="4" borderId="7" xfId="0" applyNumberFormat="1" applyFill="1" applyBorder="1"/>
    <xf numFmtId="44" fontId="0" fillId="4" borderId="0" xfId="0" applyNumberFormat="1" applyFill="1" applyBorder="1"/>
    <xf numFmtId="164" fontId="0" fillId="4" borderId="8" xfId="0" applyNumberFormat="1" applyFill="1" applyBorder="1"/>
    <xf numFmtId="0" fontId="0" fillId="4" borderId="0" xfId="0" applyFill="1" applyBorder="1" applyAlignment="1">
      <alignment horizontal="right"/>
    </xf>
    <xf numFmtId="0" fontId="10" fillId="4" borderId="0" xfId="0" quotePrefix="1" applyFont="1" applyFill="1" applyBorder="1"/>
    <xf numFmtId="44" fontId="0" fillId="4" borderId="0" xfId="0" applyNumberFormat="1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4" fontId="0" fillId="4" borderId="8" xfId="0" applyNumberFormat="1" applyFill="1" applyBorder="1"/>
    <xf numFmtId="44" fontId="0" fillId="4" borderId="9" xfId="0" applyNumberFormat="1" applyFill="1" applyBorder="1"/>
    <xf numFmtId="44" fontId="0" fillId="4" borderId="15" xfId="0" applyNumberFormat="1" applyFill="1" applyBorder="1"/>
    <xf numFmtId="0" fontId="0" fillId="4" borderId="15" xfId="0" applyFill="1" applyBorder="1" applyAlignment="1">
      <alignment vertical="top" wrapText="1"/>
    </xf>
    <xf numFmtId="0" fontId="0" fillId="4" borderId="15" xfId="0" applyFill="1" applyBorder="1"/>
    <xf numFmtId="164" fontId="0" fillId="4" borderId="10" xfId="0" applyNumberFormat="1" applyFill="1" applyBorder="1"/>
    <xf numFmtId="4" fontId="0" fillId="3" borderId="1" xfId="0" quotePrefix="1" applyNumberFormat="1" applyFont="1" applyFill="1" applyBorder="1"/>
    <xf numFmtId="4" fontId="0" fillId="3" borderId="1" xfId="0" applyNumberFormat="1" applyFont="1" applyFill="1" applyBorder="1"/>
    <xf numFmtId="4" fontId="0" fillId="3" borderId="1" xfId="0" applyNumberFormat="1" applyFill="1" applyBorder="1" applyAlignment="1">
      <alignment vertical="center"/>
    </xf>
    <xf numFmtId="4" fontId="2" fillId="3" borderId="0" xfId="0" quotePrefix="1" applyNumberFormat="1" applyFont="1" applyFill="1" applyBorder="1" applyAlignment="1">
      <alignment vertical="center"/>
    </xf>
    <xf numFmtId="4" fontId="2" fillId="3" borderId="7" xfId="0" applyNumberFormat="1" applyFont="1" applyFill="1" applyBorder="1" applyAlignment="1">
      <alignment vertical="center"/>
    </xf>
    <xf numFmtId="4" fontId="0" fillId="3" borderId="4" xfId="0" applyNumberFormat="1" applyFill="1" applyBorder="1" applyAlignment="1">
      <alignment vertical="center"/>
    </xf>
    <xf numFmtId="4" fontId="0" fillId="3" borderId="2" xfId="0" quotePrefix="1" applyNumberFormat="1" applyFont="1" applyFill="1" applyBorder="1"/>
    <xf numFmtId="4" fontId="0" fillId="3" borderId="2" xfId="0" applyNumberFormat="1" applyFont="1" applyFill="1" applyBorder="1"/>
    <xf numFmtId="4" fontId="1" fillId="3" borderId="1" xfId="0" applyNumberFormat="1" applyFont="1" applyFill="1" applyBorder="1" applyAlignment="1">
      <alignment vertical="center"/>
    </xf>
    <xf numFmtId="4" fontId="8" fillId="3" borderId="1" xfId="0" applyNumberFormat="1" applyFont="1" applyFill="1" applyBorder="1"/>
    <xf numFmtId="0" fontId="0" fillId="3" borderId="1" xfId="0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4" fontId="4" fillId="3" borderId="1" xfId="0" applyNumberFormat="1" applyFont="1" applyFill="1" applyBorder="1"/>
    <xf numFmtId="164" fontId="4" fillId="4" borderId="1" xfId="0" applyNumberFormat="1" applyFont="1" applyFill="1" applyBorder="1"/>
    <xf numFmtId="4" fontId="4" fillId="4" borderId="1" xfId="0" applyNumberFormat="1" applyFont="1" applyFill="1" applyBorder="1"/>
    <xf numFmtId="0" fontId="0" fillId="0" borderId="0" xfId="0" applyBorder="1" applyAlignment="1">
      <alignment vertical="top" wrapText="1"/>
    </xf>
    <xf numFmtId="9" fontId="0" fillId="0" borderId="0" xfId="0" applyNumberFormat="1" applyBorder="1"/>
    <xf numFmtId="0" fontId="0" fillId="2" borderId="0" xfId="0" applyFill="1" applyBorder="1" applyAlignment="1">
      <alignment vertical="center" wrapText="1"/>
    </xf>
    <xf numFmtId="4" fontId="0" fillId="2" borderId="0" xfId="0" quotePrefix="1" applyNumberFormat="1" applyFont="1" applyFill="1" applyBorder="1"/>
    <xf numFmtId="0" fontId="0" fillId="4" borderId="7" xfId="0" applyFill="1" applyBorder="1"/>
    <xf numFmtId="0" fontId="0" fillId="4" borderId="10" xfId="0" applyFill="1" applyBorder="1" applyAlignment="1">
      <alignment horizontal="right"/>
    </xf>
    <xf numFmtId="0" fontId="15" fillId="5" borderId="0" xfId="0" applyFont="1" applyFill="1"/>
    <xf numFmtId="4" fontId="15" fillId="5" borderId="3" xfId="0" applyNumberFormat="1" applyFont="1" applyFill="1" applyBorder="1"/>
    <xf numFmtId="4" fontId="15" fillId="5" borderId="2" xfId="0" applyNumberFormat="1" applyFont="1" applyFill="1" applyBorder="1"/>
    <xf numFmtId="4" fontId="15" fillId="5" borderId="1" xfId="0" applyNumberFormat="1" applyFont="1" applyFill="1" applyBorder="1"/>
    <xf numFmtId="166" fontId="2" fillId="5" borderId="0" xfId="0" applyNumberFormat="1" applyFont="1" applyFill="1" applyAlignment="1">
      <alignment horizontal="left"/>
    </xf>
    <xf numFmtId="0" fontId="12" fillId="0" borderId="0" xfId="1" applyFont="1" applyAlignment="1">
      <alignment vertical="top"/>
    </xf>
    <xf numFmtId="0" fontId="13" fillId="3" borderId="4" xfId="0" quotePrefix="1" applyFont="1" applyFill="1" applyBorder="1"/>
    <xf numFmtId="0" fontId="0" fillId="0" borderId="0" xfId="0" applyFont="1" applyAlignment="1">
      <alignment horizontal="left"/>
    </xf>
    <xf numFmtId="0" fontId="0" fillId="0" borderId="0" xfId="0" applyFont="1"/>
    <xf numFmtId="0" fontId="1" fillId="4" borderId="11" xfId="0" applyFont="1" applyFill="1" applyBorder="1" applyAlignment="1">
      <alignment horizontal="center" vertical="top"/>
    </xf>
    <xf numFmtId="0" fontId="1" fillId="4" borderId="12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arole-vercheyre-grard.fr/syntec-il-existe-des-dispositions-specifiques-pour-le-chomage-parti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10046-819F-48AB-9D51-BBA882FEA7AC}">
  <dimension ref="A1:P31"/>
  <sheetViews>
    <sheetView showGridLines="0" tabSelected="1" workbookViewId="0"/>
  </sheetViews>
  <sheetFormatPr baseColWidth="10" defaultRowHeight="15" x14ac:dyDescent="0.25"/>
  <cols>
    <col min="1" max="1" width="54.140625" bestFit="1" customWidth="1"/>
    <col min="2" max="2" width="3" customWidth="1"/>
    <col min="3" max="3" width="21.5703125" bestFit="1" customWidth="1"/>
    <col min="4" max="4" width="5.28515625" customWidth="1"/>
    <col min="5" max="5" width="21.85546875" bestFit="1" customWidth="1"/>
    <col min="6" max="6" width="3.7109375" customWidth="1"/>
    <col min="7" max="7" width="26.42578125" customWidth="1"/>
    <col min="8" max="8" width="4.140625" customWidth="1"/>
    <col min="9" max="9" width="19.28515625" customWidth="1"/>
    <col min="10" max="10" width="2.42578125" customWidth="1"/>
    <col min="11" max="11" width="18.140625" customWidth="1"/>
    <col min="12" max="12" width="2.85546875" customWidth="1"/>
    <col min="13" max="13" width="18.28515625" customWidth="1"/>
    <col min="14" max="14" width="19.85546875" customWidth="1"/>
    <col min="15" max="15" width="14.5703125" customWidth="1"/>
    <col min="16" max="16" width="15.7109375" customWidth="1"/>
  </cols>
  <sheetData>
    <row r="1" spans="1:15" ht="15.75" thickBot="1" x14ac:dyDescent="0.3">
      <c r="A1" s="116" t="s">
        <v>10</v>
      </c>
      <c r="C1" s="10" t="s">
        <v>44</v>
      </c>
      <c r="D1" s="3"/>
      <c r="E1" s="125" t="s">
        <v>2</v>
      </c>
      <c r="F1" s="126"/>
      <c r="G1" s="126"/>
      <c r="H1" s="126"/>
      <c r="I1" s="126"/>
      <c r="J1" s="126"/>
      <c r="K1" s="127"/>
    </row>
    <row r="2" spans="1:15" ht="15.75" thickBot="1" x14ac:dyDescent="0.3">
      <c r="D2" s="4"/>
      <c r="E2" s="61" t="s">
        <v>1</v>
      </c>
      <c r="F2" s="62"/>
      <c r="G2" s="61" t="s">
        <v>5</v>
      </c>
      <c r="H2" s="63"/>
      <c r="I2" s="64" t="s">
        <v>6</v>
      </c>
      <c r="J2" s="63"/>
      <c r="K2" s="65" t="s">
        <v>9</v>
      </c>
      <c r="M2" s="123" t="str">
        <f>"(1) Chomage partiel limité à 4,5 Smic soit : "&amp;ROUND(N4*4.5,2)&amp;" € horaire / "&amp;ROUND(N4*151.67*4.5,2)&amp;" mensuel"</f>
        <v>(1) Chomage partiel limité à 4,5 Smic soit : 45,68 € horaire / 6927,53 mensuel</v>
      </c>
    </row>
    <row r="3" spans="1:15" x14ac:dyDescent="0.25">
      <c r="A3" s="28" t="s">
        <v>3</v>
      </c>
      <c r="B3" s="13"/>
      <c r="C3" s="118">
        <v>151.66999999999999</v>
      </c>
      <c r="D3" s="23"/>
      <c r="E3" s="66">
        <f>C3-G3</f>
        <v>95.669999999999987</v>
      </c>
      <c r="F3" s="67"/>
      <c r="G3" s="117">
        <v>56</v>
      </c>
      <c r="H3" s="63"/>
      <c r="I3" s="63"/>
      <c r="J3" s="63"/>
      <c r="K3" s="68"/>
      <c r="M3" s="124" t="s">
        <v>58</v>
      </c>
    </row>
    <row r="4" spans="1:15" ht="30" customHeight="1" thickBot="1" x14ac:dyDescent="0.35">
      <c r="A4" s="22" t="s">
        <v>0</v>
      </c>
      <c r="B4" s="13"/>
      <c r="C4" s="16">
        <f>ROUND(C6/C3,2)</f>
        <v>19.78</v>
      </c>
      <c r="D4" s="23"/>
      <c r="E4" s="69">
        <f>C4</f>
        <v>19.78</v>
      </c>
      <c r="F4" s="67"/>
      <c r="G4" s="16">
        <f>ROUND(C4*70%,2)</f>
        <v>13.85</v>
      </c>
      <c r="H4" s="70" t="s">
        <v>32</v>
      </c>
      <c r="I4" s="63"/>
      <c r="J4" s="63"/>
      <c r="K4" s="68"/>
      <c r="M4" t="s">
        <v>55</v>
      </c>
      <c r="N4" s="120">
        <v>10.15</v>
      </c>
    </row>
    <row r="5" spans="1:15" ht="15.75" thickBot="1" x14ac:dyDescent="0.3">
      <c r="C5" s="7"/>
      <c r="D5" s="23"/>
      <c r="E5" s="71"/>
      <c r="F5" s="67"/>
      <c r="G5" s="67"/>
      <c r="H5" s="63"/>
      <c r="I5" s="63"/>
      <c r="J5" s="63"/>
      <c r="K5" s="68"/>
    </row>
    <row r="6" spans="1:15" ht="21.75" thickBot="1" x14ac:dyDescent="0.35">
      <c r="A6" s="28" t="s">
        <v>4</v>
      </c>
      <c r="B6" s="13"/>
      <c r="C6" s="119">
        <v>3000</v>
      </c>
      <c r="D6" s="15"/>
      <c r="E6" s="50">
        <f>ROUND(E4*E3,2)</f>
        <v>1892.35</v>
      </c>
      <c r="F6" s="18"/>
      <c r="G6" s="97">
        <f>ROUND(G4*G3,2)</f>
        <v>775.6</v>
      </c>
      <c r="H6" s="70" t="s">
        <v>33</v>
      </c>
      <c r="I6" s="67"/>
      <c r="J6" s="63"/>
      <c r="K6" s="68"/>
      <c r="M6" s="54" t="s">
        <v>51</v>
      </c>
    </row>
    <row r="7" spans="1:15" ht="15.75" thickBot="1" x14ac:dyDescent="0.3">
      <c r="A7" s="122" t="s">
        <v>52</v>
      </c>
      <c r="B7" s="21"/>
      <c r="C7" s="45"/>
      <c r="D7" s="23"/>
      <c r="E7" s="114"/>
      <c r="F7" s="67"/>
      <c r="G7" s="67"/>
      <c r="H7" s="63"/>
      <c r="I7" s="67"/>
      <c r="J7" s="63"/>
      <c r="K7" s="68"/>
    </row>
    <row r="8" spans="1:15" ht="12" customHeight="1" x14ac:dyDescent="0.25">
      <c r="A8" s="2"/>
      <c r="B8" s="21"/>
      <c r="C8" s="45"/>
      <c r="D8" s="23"/>
      <c r="E8" s="71"/>
      <c r="F8" s="67"/>
      <c r="G8" s="63"/>
      <c r="H8" s="63"/>
      <c r="I8" s="67"/>
      <c r="J8" s="63"/>
      <c r="K8" s="68"/>
    </row>
    <row r="9" spans="1:15" x14ac:dyDescent="0.25">
      <c r="A9" s="2"/>
      <c r="B9" s="21"/>
      <c r="C9" s="45"/>
      <c r="D9" s="23"/>
      <c r="E9" s="114"/>
      <c r="F9" s="67"/>
      <c r="G9" s="67"/>
      <c r="H9" s="63"/>
      <c r="I9" s="67"/>
      <c r="J9" s="63"/>
      <c r="K9" s="68"/>
    </row>
    <row r="10" spans="1:15" ht="15.75" thickBot="1" x14ac:dyDescent="0.3">
      <c r="A10" s="25"/>
      <c r="B10" s="21"/>
      <c r="C10" s="45"/>
      <c r="D10" s="23"/>
      <c r="E10" s="71"/>
      <c r="F10" s="67"/>
      <c r="G10" s="63"/>
      <c r="H10" s="63"/>
      <c r="I10" s="67"/>
      <c r="J10" s="63"/>
      <c r="K10" s="68"/>
      <c r="N10" s="131"/>
      <c r="O10" s="131"/>
    </row>
    <row r="11" spans="1:15" ht="16.5" customHeight="1" thickBot="1" x14ac:dyDescent="0.3">
      <c r="A11" s="49" t="s">
        <v>12</v>
      </c>
      <c r="B11" s="13"/>
      <c r="C11" s="50">
        <f>ROUND(C6*22%,2)</f>
        <v>660</v>
      </c>
      <c r="D11" s="15"/>
      <c r="E11" s="50">
        <f>ROUND(E6*22%,2)</f>
        <v>416.32</v>
      </c>
      <c r="F11" s="67"/>
      <c r="G11" s="67"/>
      <c r="H11" s="63"/>
      <c r="I11" s="63"/>
      <c r="J11" s="63"/>
      <c r="K11" s="68"/>
      <c r="N11" s="4"/>
      <c r="O11" s="110"/>
    </row>
    <row r="12" spans="1:15" x14ac:dyDescent="0.25">
      <c r="A12" s="2"/>
      <c r="C12" s="7"/>
      <c r="D12" s="7"/>
      <c r="E12" s="71"/>
      <c r="F12" s="67"/>
      <c r="G12" s="67"/>
      <c r="H12" s="63"/>
      <c r="I12" s="63"/>
      <c r="J12" s="63"/>
      <c r="K12" s="68"/>
      <c r="N12" s="2"/>
      <c r="O12" s="111"/>
    </row>
    <row r="13" spans="1:15" ht="15.75" thickBot="1" x14ac:dyDescent="0.3">
      <c r="A13" s="2"/>
      <c r="C13" s="9"/>
      <c r="D13" s="9"/>
      <c r="E13" s="74"/>
      <c r="F13" s="75"/>
      <c r="G13" s="76"/>
      <c r="H13" s="63"/>
      <c r="I13" s="63"/>
      <c r="J13" s="63"/>
      <c r="K13" s="68"/>
      <c r="N13" s="2"/>
      <c r="O13" s="111"/>
    </row>
    <row r="14" spans="1:15" ht="13.5" customHeight="1" thickBot="1" x14ac:dyDescent="0.3">
      <c r="A14" s="59" t="s">
        <v>11</v>
      </c>
      <c r="C14" s="9"/>
      <c r="D14" s="9"/>
      <c r="E14" s="74"/>
      <c r="F14" s="75"/>
      <c r="G14" s="76"/>
      <c r="H14" s="63"/>
      <c r="I14" s="63"/>
      <c r="J14" s="63"/>
      <c r="K14" s="68"/>
      <c r="N14" s="2"/>
      <c r="O14" s="111"/>
    </row>
    <row r="15" spans="1:15" ht="30.75" thickBot="1" x14ac:dyDescent="0.3">
      <c r="A15" s="58" t="s">
        <v>15</v>
      </c>
      <c r="B15" s="13"/>
      <c r="C15" s="98"/>
      <c r="D15" s="19"/>
      <c r="E15" s="99"/>
      <c r="F15" s="19"/>
      <c r="G15" s="97">
        <f>ROUND((G6*98.25%)*6.7%,)</f>
        <v>51</v>
      </c>
      <c r="H15" s="63"/>
      <c r="I15" s="63"/>
      <c r="J15" s="63"/>
      <c r="K15" s="68"/>
    </row>
    <row r="16" spans="1:15" ht="15.75" thickBot="1" x14ac:dyDescent="0.3">
      <c r="A16" s="26"/>
      <c r="B16" s="21"/>
      <c r="C16" s="51"/>
      <c r="D16" s="9"/>
      <c r="E16" s="77"/>
      <c r="F16" s="75"/>
      <c r="G16" s="76"/>
      <c r="H16" s="63"/>
      <c r="I16" s="63"/>
      <c r="J16" s="63"/>
      <c r="K16" s="68"/>
    </row>
    <row r="17" spans="1:16" ht="15.75" thickBot="1" x14ac:dyDescent="0.3">
      <c r="A17" s="12"/>
      <c r="B17" s="52"/>
      <c r="C17" s="23"/>
      <c r="D17" s="23"/>
      <c r="E17" s="71"/>
      <c r="F17" s="67"/>
      <c r="G17" s="76"/>
      <c r="H17" s="63"/>
      <c r="I17" s="78"/>
      <c r="J17" s="63"/>
      <c r="K17" s="68"/>
      <c r="M17" s="128" t="s">
        <v>20</v>
      </c>
      <c r="N17" s="129"/>
      <c r="O17" s="129"/>
      <c r="P17" s="130"/>
    </row>
    <row r="18" spans="1:16" ht="34.5" customHeight="1" thickBot="1" x14ac:dyDescent="0.3">
      <c r="A18" s="60" t="s">
        <v>7</v>
      </c>
      <c r="B18" s="27"/>
      <c r="C18" s="101">
        <f>C11</f>
        <v>660</v>
      </c>
      <c r="D18" s="15"/>
      <c r="E18" s="102">
        <f>E11</f>
        <v>416.32</v>
      </c>
      <c r="F18" s="15"/>
      <c r="G18" s="32">
        <f>SUM(G15:G16)</f>
        <v>51</v>
      </c>
      <c r="H18" s="63"/>
      <c r="I18" s="79" t="s">
        <v>16</v>
      </c>
      <c r="J18" s="63"/>
      <c r="K18" s="80" t="s">
        <v>14</v>
      </c>
      <c r="M18" s="38" t="s">
        <v>21</v>
      </c>
      <c r="N18" s="38" t="s">
        <v>39</v>
      </c>
      <c r="O18" s="38" t="s">
        <v>42</v>
      </c>
      <c r="P18" s="38" t="s">
        <v>22</v>
      </c>
    </row>
    <row r="19" spans="1:16" ht="27" thickBot="1" x14ac:dyDescent="0.45">
      <c r="A19" s="105" t="s">
        <v>13</v>
      </c>
      <c r="B19" s="31"/>
      <c r="C19" s="103">
        <f>C6-C11</f>
        <v>2340</v>
      </c>
      <c r="D19" s="29"/>
      <c r="E19" s="103">
        <f>E6-E11</f>
        <v>1476.03</v>
      </c>
      <c r="F19" s="29"/>
      <c r="G19" s="103">
        <f>G6-G18</f>
        <v>724.6</v>
      </c>
      <c r="H19" s="18"/>
      <c r="I19" s="104">
        <f>G19+E19</f>
        <v>2200.63</v>
      </c>
      <c r="J19" s="63"/>
      <c r="K19" s="81">
        <f>I19-C19</f>
        <v>-139.36999999999989</v>
      </c>
      <c r="M19" s="30">
        <f>I19</f>
        <v>2200.63</v>
      </c>
      <c r="N19" s="30">
        <f>E18+G18+I21</f>
        <v>1142.8900000000001</v>
      </c>
      <c r="O19" s="30">
        <f>I25*-1</f>
        <v>775.6</v>
      </c>
      <c r="P19" s="30">
        <f>M19+N19-O19</f>
        <v>2567.9200000000005</v>
      </c>
    </row>
    <row r="20" spans="1:16" ht="15.75" thickBot="1" x14ac:dyDescent="0.3">
      <c r="C20" s="5"/>
      <c r="D20" s="7"/>
      <c r="E20" s="82"/>
      <c r="F20" s="67"/>
      <c r="G20" s="83"/>
      <c r="H20" s="63"/>
      <c r="I20" s="63"/>
      <c r="J20" s="63"/>
      <c r="K20" s="68"/>
      <c r="M20" s="41"/>
    </row>
    <row r="21" spans="1:16" ht="48" customHeight="1" thickBot="1" x14ac:dyDescent="0.3">
      <c r="A21" s="56" t="s">
        <v>53</v>
      </c>
      <c r="B21" s="57"/>
      <c r="C21" s="32">
        <f>ROUND(C6*35.7%,2)</f>
        <v>1071</v>
      </c>
      <c r="D21" s="29" t="s">
        <v>47</v>
      </c>
      <c r="E21" s="32">
        <f>ROUND(E6*35.7%,2)</f>
        <v>675.57</v>
      </c>
      <c r="F21" s="29" t="s">
        <v>47</v>
      </c>
      <c r="G21" s="32">
        <f>ROUND(G6*0%,2)</f>
        <v>0</v>
      </c>
      <c r="H21" s="29" t="s">
        <v>48</v>
      </c>
      <c r="I21" s="106">
        <f>E21+G21</f>
        <v>675.57</v>
      </c>
      <c r="J21" s="63"/>
      <c r="K21" s="68"/>
      <c r="M21" s="36" t="s">
        <v>40</v>
      </c>
    </row>
    <row r="22" spans="1:16" ht="18" thickBot="1" x14ac:dyDescent="0.3">
      <c r="A22" s="1"/>
      <c r="C22" s="8"/>
      <c r="D22" s="7"/>
      <c r="E22" s="66"/>
      <c r="F22" s="67"/>
      <c r="G22" s="66"/>
      <c r="H22" s="67"/>
      <c r="I22" s="67"/>
      <c r="J22" s="63"/>
      <c r="K22" s="68"/>
      <c r="M22" s="37" t="s">
        <v>41</v>
      </c>
    </row>
    <row r="23" spans="1:16" ht="19.5" thickBot="1" x14ac:dyDescent="0.35">
      <c r="A23" s="22" t="s">
        <v>8</v>
      </c>
      <c r="B23" s="13"/>
      <c r="C23" s="16">
        <f>C6+C21</f>
        <v>4071</v>
      </c>
      <c r="D23" s="15"/>
      <c r="E23" s="16">
        <f>E6+E21</f>
        <v>2567.92</v>
      </c>
      <c r="F23" s="15"/>
      <c r="G23" s="16">
        <f>G6+G21</f>
        <v>775.6</v>
      </c>
      <c r="H23" s="15"/>
      <c r="I23" s="107">
        <f>G23+E23</f>
        <v>3343.52</v>
      </c>
      <c r="J23" s="63"/>
      <c r="K23" s="84"/>
      <c r="M23" s="55" t="s">
        <v>50</v>
      </c>
    </row>
    <row r="24" spans="1:16" ht="15.75" thickBot="1" x14ac:dyDescent="0.3">
      <c r="C24" s="5"/>
      <c r="D24" s="5"/>
      <c r="E24" s="82"/>
      <c r="F24" s="83"/>
      <c r="G24" s="83"/>
      <c r="H24" s="63"/>
      <c r="I24" s="63"/>
      <c r="J24" s="63"/>
      <c r="K24" s="68"/>
      <c r="M24" t="s">
        <v>46</v>
      </c>
    </row>
    <row r="25" spans="1:16" ht="31.5" thickBot="1" x14ac:dyDescent="0.35">
      <c r="A25" s="20" t="str">
        <f>"Taux horaire chargé soit :     
"&amp;C23&amp;" € / "&amp;C3&amp;" heures"</f>
        <v>Taux horaire chargé soit :     
4071 € / 151,67 heures</v>
      </c>
      <c r="B25" s="18"/>
      <c r="C25" s="15">
        <f>ROUND(C23/C3,2)</f>
        <v>26.84</v>
      </c>
      <c r="D25" s="5"/>
      <c r="E25" s="82"/>
      <c r="F25" s="83"/>
      <c r="G25" s="85" t="s">
        <v>19</v>
      </c>
      <c r="H25" s="63"/>
      <c r="I25" s="108">
        <f>-IF(G4&gt;(N4*4.5),ROUND((N4*4.5*G3*70%),2)*-1,-G6)*-1</f>
        <v>-775.6</v>
      </c>
      <c r="J25" s="86" t="s">
        <v>45</v>
      </c>
      <c r="K25" s="68"/>
    </row>
    <row r="26" spans="1:16" ht="15.75" thickBot="1" x14ac:dyDescent="0.3">
      <c r="A26" s="12"/>
      <c r="B26" s="2"/>
      <c r="D26" s="5"/>
      <c r="E26" s="82"/>
      <c r="F26" s="83"/>
      <c r="G26" s="83"/>
      <c r="H26" s="63"/>
      <c r="I26" s="63"/>
      <c r="J26" s="63"/>
      <c r="K26" s="68"/>
      <c r="M26" t="s">
        <v>49</v>
      </c>
    </row>
    <row r="27" spans="1:16" ht="30.75" thickBot="1" x14ac:dyDescent="0.35">
      <c r="A27" s="34" t="str">
        <f>"Taux jour chargé soit :   
 "&amp;C25&amp;" € * 7 heures"</f>
        <v>Taux jour chargé soit :   
 26,84 € * 7 heures</v>
      </c>
      <c r="B27" s="18"/>
      <c r="C27" s="35">
        <f>C25*7</f>
        <v>187.88</v>
      </c>
      <c r="D27" s="5"/>
      <c r="E27" s="82"/>
      <c r="F27" s="83"/>
      <c r="G27" s="87" t="s">
        <v>17</v>
      </c>
      <c r="H27" s="63"/>
      <c r="I27" s="109">
        <f>I23+I25</f>
        <v>2567.92</v>
      </c>
      <c r="J27" s="63"/>
      <c r="K27" s="68"/>
      <c r="M27" s="54" t="s">
        <v>56</v>
      </c>
    </row>
    <row r="28" spans="1:16" ht="15.75" thickBot="1" x14ac:dyDescent="0.3">
      <c r="A28" s="2"/>
      <c r="C28" s="5"/>
      <c r="D28" s="5"/>
      <c r="E28" s="90"/>
      <c r="F28" s="91"/>
      <c r="G28" s="91"/>
      <c r="H28" s="93"/>
      <c r="I28" s="93"/>
      <c r="J28" s="93"/>
      <c r="K28" s="115"/>
      <c r="M28" s="54" t="s">
        <v>57</v>
      </c>
    </row>
    <row r="29" spans="1:16" x14ac:dyDescent="0.25">
      <c r="C29" s="5"/>
      <c r="D29" s="5"/>
      <c r="E29" s="5"/>
      <c r="F29" s="5"/>
      <c r="G29" s="6"/>
    </row>
    <row r="30" spans="1:16" x14ac:dyDescent="0.25">
      <c r="E30" s="5"/>
      <c r="F30" s="5"/>
      <c r="G30" s="6"/>
    </row>
    <row r="31" spans="1:16" x14ac:dyDescent="0.25">
      <c r="K31" s="33"/>
      <c r="N31" s="11"/>
      <c r="P31" s="11"/>
    </row>
  </sheetData>
  <mergeCells count="3">
    <mergeCell ref="E1:K1"/>
    <mergeCell ref="M17:P17"/>
    <mergeCell ref="N10:O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58BEA-4058-42F2-9611-0A0FD7162D88}">
  <dimension ref="A1:P35"/>
  <sheetViews>
    <sheetView showGridLines="0" workbookViewId="0">
      <selection activeCell="C7" sqref="C7"/>
    </sheetView>
  </sheetViews>
  <sheetFormatPr baseColWidth="10" defaultRowHeight="15" x14ac:dyDescent="0.25"/>
  <cols>
    <col min="1" max="1" width="54.140625" bestFit="1" customWidth="1"/>
    <col min="2" max="2" width="3" customWidth="1"/>
    <col min="3" max="3" width="21.5703125" bestFit="1" customWidth="1"/>
    <col min="4" max="4" width="5.28515625" customWidth="1"/>
    <col min="5" max="5" width="21.85546875" bestFit="1" customWidth="1"/>
    <col min="6" max="6" width="3.7109375" customWidth="1"/>
    <col min="7" max="7" width="26.42578125" customWidth="1"/>
    <col min="8" max="8" width="4.140625" customWidth="1"/>
    <col min="9" max="9" width="19.28515625" customWidth="1"/>
    <col min="10" max="10" width="2.42578125" customWidth="1"/>
    <col min="11" max="11" width="18.140625" customWidth="1"/>
    <col min="12" max="12" width="2.85546875" customWidth="1"/>
    <col min="13" max="13" width="18.28515625" customWidth="1"/>
    <col min="14" max="14" width="19.85546875" customWidth="1"/>
    <col min="15" max="15" width="14.5703125" customWidth="1"/>
    <col min="16" max="16" width="15.7109375" customWidth="1"/>
  </cols>
  <sheetData>
    <row r="1" spans="1:16" ht="15.75" thickBot="1" x14ac:dyDescent="0.3">
      <c r="A1" s="116" t="s">
        <v>10</v>
      </c>
      <c r="C1" s="10" t="s">
        <v>44</v>
      </c>
      <c r="D1" s="3"/>
      <c r="E1" s="125" t="s">
        <v>2</v>
      </c>
      <c r="F1" s="126"/>
      <c r="G1" s="126"/>
      <c r="H1" s="126"/>
      <c r="I1" s="126"/>
      <c r="J1" s="126"/>
      <c r="K1" s="127"/>
    </row>
    <row r="2" spans="1:16" ht="15.75" thickBot="1" x14ac:dyDescent="0.3">
      <c r="D2" s="4"/>
      <c r="E2" s="61" t="s">
        <v>1</v>
      </c>
      <c r="F2" s="62"/>
      <c r="G2" s="61" t="s">
        <v>5</v>
      </c>
      <c r="H2" s="63"/>
      <c r="I2" s="64" t="s">
        <v>6</v>
      </c>
      <c r="J2" s="63"/>
      <c r="K2" s="65" t="s">
        <v>9</v>
      </c>
      <c r="M2" s="123" t="str">
        <f>"(1) Indemnité Chomage partiel limité à 4,5 Smic soit : "&amp;ROUND(N4*4.5,2)&amp;" € horaire / "&amp;ROUND(N4*151.67*4.5,2)&amp;" € mensuel"</f>
        <v>(1) Indemnité Chomage partiel limité à 4,5 Smic soit : 45,68 € horaire / 6927,53 € mensuel</v>
      </c>
    </row>
    <row r="3" spans="1:16" x14ac:dyDescent="0.25">
      <c r="A3" s="28" t="s">
        <v>3</v>
      </c>
      <c r="B3" s="13"/>
      <c r="C3" s="118">
        <v>151.66999999999999</v>
      </c>
      <c r="D3" s="23"/>
      <c r="E3" s="66">
        <f>C3-G3</f>
        <v>69.999999999999986</v>
      </c>
      <c r="F3" s="67"/>
      <c r="G3" s="117">
        <v>81.67</v>
      </c>
      <c r="H3" s="63"/>
      <c r="I3" s="63"/>
      <c r="J3" s="63"/>
      <c r="K3" s="68"/>
      <c r="M3" s="124" t="s">
        <v>58</v>
      </c>
    </row>
    <row r="4" spans="1:16" ht="30" customHeight="1" thickBot="1" x14ac:dyDescent="0.35">
      <c r="A4" s="22" t="s">
        <v>0</v>
      </c>
      <c r="B4" s="13"/>
      <c r="C4" s="16">
        <f>ROUND(C6/C3,2)</f>
        <v>13.19</v>
      </c>
      <c r="D4" s="23"/>
      <c r="E4" s="69">
        <f>C4</f>
        <v>13.19</v>
      </c>
      <c r="F4" s="67"/>
      <c r="G4" s="69">
        <f>ROUND(E4*VLOOKUP(C6,M12:O14,3),2)</f>
        <v>12.53</v>
      </c>
      <c r="H4" s="70" t="s">
        <v>32</v>
      </c>
      <c r="I4" s="63"/>
      <c r="J4" s="63"/>
      <c r="K4" s="68"/>
      <c r="M4" t="s">
        <v>55</v>
      </c>
      <c r="N4" s="120">
        <v>10.15</v>
      </c>
    </row>
    <row r="5" spans="1:16" ht="15.75" thickBot="1" x14ac:dyDescent="0.3">
      <c r="C5" s="7"/>
      <c r="D5" s="23"/>
      <c r="E5" s="71"/>
      <c r="F5" s="67"/>
      <c r="G5" s="67"/>
      <c r="H5" s="63"/>
      <c r="I5" s="63"/>
      <c r="J5" s="63"/>
      <c r="K5" s="68"/>
      <c r="M5" s="54" t="s">
        <v>36</v>
      </c>
    </row>
    <row r="6" spans="1:16" ht="21" x14ac:dyDescent="0.3">
      <c r="A6" s="28" t="s">
        <v>4</v>
      </c>
      <c r="B6" s="13"/>
      <c r="C6" s="118">
        <v>2000</v>
      </c>
      <c r="D6" s="15"/>
      <c r="E6" s="17">
        <f>ROUND(E4*E3,2)</f>
        <v>923.3</v>
      </c>
      <c r="F6" s="18"/>
      <c r="G6" s="32">
        <f>ROUND(G4*G3,2)</f>
        <v>1023.33</v>
      </c>
      <c r="H6" s="70" t="s">
        <v>33</v>
      </c>
      <c r="I6" s="67"/>
      <c r="J6" s="63"/>
      <c r="K6" s="68"/>
      <c r="M6" t="s">
        <v>43</v>
      </c>
    </row>
    <row r="7" spans="1:16" x14ac:dyDescent="0.25">
      <c r="A7" s="53" t="str">
        <f>"(2) Chomage partiel - Indemnité  Syntec : "&amp;VLOOKUP(C6,M12:O14,3)*100&amp;" %"</f>
        <v>(2) Chomage partiel - Indemnité  Syntec : 95 %</v>
      </c>
      <c r="B7" s="21"/>
      <c r="C7" s="44"/>
      <c r="D7" s="23"/>
      <c r="E7" s="72"/>
      <c r="F7" s="67"/>
      <c r="G7" s="66"/>
      <c r="H7" s="63"/>
      <c r="I7" s="67"/>
      <c r="J7" s="63"/>
      <c r="K7" s="68"/>
      <c r="M7" t="str">
        <f>"Dans nottre cas le taux d'indemnité Syntec est de "&amp;VLOOKUP(C6,M12:O14,3)*100&amp;" %"</f>
        <v>Dans nottre cas le taux d'indemnité Syntec est de 95 %</v>
      </c>
    </row>
    <row r="8" spans="1:16" ht="12" customHeight="1" x14ac:dyDescent="0.25">
      <c r="A8" s="1"/>
      <c r="B8" s="21"/>
      <c r="C8" s="44"/>
      <c r="D8" s="23"/>
      <c r="E8" s="66"/>
      <c r="F8" s="67"/>
      <c r="G8" s="72"/>
      <c r="H8" s="63"/>
      <c r="I8" s="67"/>
      <c r="J8" s="63"/>
      <c r="K8" s="68"/>
      <c r="M8" t="s">
        <v>35</v>
      </c>
    </row>
    <row r="9" spans="1:16" ht="15.75" thickBot="1" x14ac:dyDescent="0.3">
      <c r="A9" s="24" t="s">
        <v>30</v>
      </c>
      <c r="B9" s="13"/>
      <c r="C9" s="46"/>
      <c r="D9" s="15"/>
      <c r="E9" s="14">
        <f>G6-(G3*E4*0.7)</f>
        <v>269.27089000000012</v>
      </c>
      <c r="F9" s="67"/>
      <c r="G9" s="72"/>
      <c r="H9" s="63"/>
      <c r="I9" s="67"/>
      <c r="J9" s="63"/>
      <c r="K9" s="68"/>
    </row>
    <row r="10" spans="1:16" ht="18" thickBot="1" x14ac:dyDescent="0.3">
      <c r="A10" s="1"/>
      <c r="B10" s="21"/>
      <c r="C10" s="44"/>
      <c r="D10" s="23"/>
      <c r="E10" s="72"/>
      <c r="F10" s="67"/>
      <c r="G10" s="66"/>
      <c r="H10" s="63"/>
      <c r="I10" s="67"/>
      <c r="J10" s="63"/>
      <c r="K10" s="68"/>
      <c r="N10" s="132" t="s">
        <v>26</v>
      </c>
      <c r="O10" s="133"/>
      <c r="P10" t="s">
        <v>38</v>
      </c>
    </row>
    <row r="11" spans="1:16" ht="16.5" customHeight="1" thickBot="1" x14ac:dyDescent="0.3">
      <c r="A11" s="47" t="s">
        <v>31</v>
      </c>
      <c r="B11" s="13"/>
      <c r="C11" s="48">
        <f>C6</f>
        <v>2000</v>
      </c>
      <c r="D11" s="15"/>
      <c r="E11" s="16">
        <f>E9+E6</f>
        <v>1192.57089</v>
      </c>
      <c r="F11" s="15"/>
      <c r="G11" s="100">
        <f>E4*G3*0.7</f>
        <v>754.05910999999992</v>
      </c>
      <c r="H11" s="73" t="s">
        <v>34</v>
      </c>
      <c r="I11" s="67"/>
      <c r="J11" s="63"/>
      <c r="K11" s="68"/>
      <c r="N11" s="42" t="s">
        <v>25</v>
      </c>
      <c r="O11" s="43" t="s">
        <v>27</v>
      </c>
    </row>
    <row r="12" spans="1:16" ht="15.75" thickBot="1" x14ac:dyDescent="0.3">
      <c r="A12" s="25"/>
      <c r="B12" s="21"/>
      <c r="C12" s="45"/>
      <c r="D12" s="23"/>
      <c r="E12" s="71"/>
      <c r="F12" s="67"/>
      <c r="G12" s="63"/>
      <c r="H12" s="63"/>
      <c r="I12" s="67"/>
      <c r="J12" s="63"/>
      <c r="K12" s="68"/>
      <c r="M12">
        <v>0</v>
      </c>
      <c r="N12" s="39" t="s">
        <v>28</v>
      </c>
      <c r="O12" s="40">
        <v>0.95</v>
      </c>
    </row>
    <row r="13" spans="1:16" ht="18" thickBot="1" x14ac:dyDescent="0.3">
      <c r="A13" s="49" t="s">
        <v>12</v>
      </c>
      <c r="B13" s="13"/>
      <c r="C13" s="50">
        <f>ROUND(C6*22%,2)</f>
        <v>440</v>
      </c>
      <c r="D13" s="15"/>
      <c r="E13" s="50">
        <f>ROUND(E11*22%,2)</f>
        <v>262.37</v>
      </c>
      <c r="F13" s="67"/>
      <c r="G13" s="67"/>
      <c r="H13" s="63"/>
      <c r="I13" s="63"/>
      <c r="J13" s="63"/>
      <c r="K13" s="68"/>
      <c r="M13">
        <v>2000.01</v>
      </c>
      <c r="N13" s="39" t="s">
        <v>37</v>
      </c>
      <c r="O13" s="40">
        <v>0.8</v>
      </c>
    </row>
    <row r="14" spans="1:16" ht="13.5" customHeight="1" thickBot="1" x14ac:dyDescent="0.3">
      <c r="A14" s="2"/>
      <c r="C14" s="7"/>
      <c r="D14" s="7"/>
      <c r="E14" s="71"/>
      <c r="F14" s="67"/>
      <c r="G14" s="67"/>
      <c r="H14" s="63"/>
      <c r="I14" s="63"/>
      <c r="J14" s="63"/>
      <c r="K14" s="68"/>
      <c r="M14">
        <v>3428.01</v>
      </c>
      <c r="N14" s="39" t="s">
        <v>29</v>
      </c>
      <c r="O14" s="40">
        <v>0.75</v>
      </c>
    </row>
    <row r="15" spans="1:16" ht="15.75" thickBot="1" x14ac:dyDescent="0.3">
      <c r="A15" s="59" t="s">
        <v>11</v>
      </c>
      <c r="C15" s="9"/>
      <c r="D15" s="9"/>
      <c r="E15" s="74"/>
      <c r="F15" s="75"/>
      <c r="G15" s="76"/>
      <c r="H15" s="63"/>
      <c r="I15" s="63"/>
      <c r="J15" s="63"/>
      <c r="K15" s="68"/>
    </row>
    <row r="16" spans="1:16" ht="30.75" thickBot="1" x14ac:dyDescent="0.3">
      <c r="A16" s="58" t="s">
        <v>15</v>
      </c>
      <c r="B16" s="13"/>
      <c r="C16" s="98"/>
      <c r="D16" s="19"/>
      <c r="E16" s="99"/>
      <c r="F16" s="19"/>
      <c r="G16" s="97">
        <f>ROUND((G11*98.25%)*6.7%,)</f>
        <v>50</v>
      </c>
      <c r="H16" s="63"/>
      <c r="I16" s="63"/>
      <c r="J16" s="63"/>
      <c r="K16" s="68"/>
      <c r="M16" s="128" t="s">
        <v>20</v>
      </c>
      <c r="N16" s="129"/>
      <c r="O16" s="129"/>
      <c r="P16" s="130"/>
    </row>
    <row r="17" spans="1:16" ht="34.5" customHeight="1" thickBot="1" x14ac:dyDescent="0.3">
      <c r="A17" s="26"/>
      <c r="B17" s="21"/>
      <c r="C17" s="51"/>
      <c r="D17" s="9"/>
      <c r="E17" s="77"/>
      <c r="F17" s="75"/>
      <c r="G17" s="76"/>
      <c r="H17" s="63"/>
      <c r="I17" s="63"/>
      <c r="J17" s="63"/>
      <c r="K17" s="68"/>
      <c r="M17" s="38" t="s">
        <v>21</v>
      </c>
      <c r="N17" s="38" t="s">
        <v>39</v>
      </c>
      <c r="O17" s="38" t="s">
        <v>42</v>
      </c>
      <c r="P17" s="38" t="s">
        <v>22</v>
      </c>
    </row>
    <row r="18" spans="1:16" ht="31.5" customHeight="1" thickBot="1" x14ac:dyDescent="0.3">
      <c r="A18" s="60" t="s">
        <v>7</v>
      </c>
      <c r="B18" s="27"/>
      <c r="C18" s="95">
        <f>C13</f>
        <v>440</v>
      </c>
      <c r="D18" s="15"/>
      <c r="E18" s="96">
        <f>E13</f>
        <v>262.37</v>
      </c>
      <c r="F18" s="15"/>
      <c r="G18" s="97">
        <f>SUM(G16:G17)</f>
        <v>50</v>
      </c>
      <c r="H18" s="63"/>
      <c r="I18" s="79" t="s">
        <v>16</v>
      </c>
      <c r="J18" s="63"/>
      <c r="K18" s="80" t="s">
        <v>14</v>
      </c>
      <c r="M18" s="30">
        <f>I20</f>
        <v>1634.26</v>
      </c>
      <c r="N18" s="30">
        <f>E13+G18+I22</f>
        <v>738.12</v>
      </c>
      <c r="O18" s="30">
        <f>I26*-1</f>
        <v>754.06</v>
      </c>
      <c r="P18" s="30">
        <f>M18+N18-O18</f>
        <v>1618.3200000000002</v>
      </c>
    </row>
    <row r="19" spans="1:16" ht="15.75" thickBot="1" x14ac:dyDescent="0.3">
      <c r="A19" s="112"/>
      <c r="B19" s="52"/>
      <c r="C19" s="113"/>
      <c r="D19" s="23"/>
      <c r="E19" s="75"/>
      <c r="F19" s="67"/>
      <c r="G19" s="76"/>
      <c r="H19" s="63"/>
      <c r="I19" s="79"/>
      <c r="J19" s="63"/>
      <c r="K19" s="80"/>
      <c r="M19" s="41"/>
    </row>
    <row r="20" spans="1:16" ht="24" customHeight="1" thickBot="1" x14ac:dyDescent="0.45">
      <c r="A20" s="105" t="s">
        <v>13</v>
      </c>
      <c r="B20" s="31"/>
      <c r="C20" s="103">
        <f>C6-C13</f>
        <v>1560</v>
      </c>
      <c r="D20" s="29"/>
      <c r="E20" s="103">
        <f>E6-E13</f>
        <v>660.93</v>
      </c>
      <c r="F20" s="29"/>
      <c r="G20" s="103">
        <f>G6-G18</f>
        <v>973.33</v>
      </c>
      <c r="H20" s="63"/>
      <c r="I20" s="104">
        <f>G20+E20</f>
        <v>1634.26</v>
      </c>
      <c r="J20" s="63"/>
      <c r="K20" s="81">
        <f>I20-C20</f>
        <v>74.259999999999991</v>
      </c>
      <c r="M20" s="36" t="s">
        <v>40</v>
      </c>
    </row>
    <row r="21" spans="1:16" ht="18" thickBot="1" x14ac:dyDescent="0.3">
      <c r="C21" s="5"/>
      <c r="D21" s="7"/>
      <c r="E21" s="82"/>
      <c r="F21" s="67"/>
      <c r="G21" s="83"/>
      <c r="H21" s="63"/>
      <c r="I21" s="63"/>
      <c r="J21" s="63"/>
      <c r="K21" s="68"/>
      <c r="M21" s="37" t="s">
        <v>41</v>
      </c>
    </row>
    <row r="22" spans="1:16" ht="45.75" thickBot="1" x14ac:dyDescent="0.3">
      <c r="A22" s="56" t="s">
        <v>54</v>
      </c>
      <c r="B22" s="57"/>
      <c r="C22" s="32">
        <f>ROUND(C11*35.7%,2)</f>
        <v>714</v>
      </c>
      <c r="D22" s="29" t="s">
        <v>47</v>
      </c>
      <c r="E22" s="32">
        <f>ROUND(E11*35.7%,2)</f>
        <v>425.75</v>
      </c>
      <c r="F22" s="29" t="s">
        <v>47</v>
      </c>
      <c r="G22" s="32">
        <f>ROUND(G11*0%,2)</f>
        <v>0</v>
      </c>
      <c r="H22" s="76" t="s">
        <v>48</v>
      </c>
      <c r="I22" s="106">
        <f>E22+G22</f>
        <v>425.75</v>
      </c>
      <c r="J22" s="63"/>
      <c r="K22" s="68"/>
      <c r="M22" s="55" t="s">
        <v>50</v>
      </c>
    </row>
    <row r="23" spans="1:16" ht="15.75" thickBot="1" x14ac:dyDescent="0.3">
      <c r="A23" s="1"/>
      <c r="C23" s="8"/>
      <c r="D23" s="7"/>
      <c r="E23" s="66"/>
      <c r="F23" s="67"/>
      <c r="G23" s="66"/>
      <c r="H23" s="67"/>
      <c r="I23" s="67"/>
      <c r="J23" s="63"/>
      <c r="K23" s="68"/>
      <c r="M23" t="s">
        <v>46</v>
      </c>
    </row>
    <row r="24" spans="1:16" ht="19.5" thickBot="1" x14ac:dyDescent="0.35">
      <c r="A24" s="22" t="s">
        <v>8</v>
      </c>
      <c r="B24" s="13"/>
      <c r="C24" s="16">
        <f>C6+C22</f>
        <v>2714</v>
      </c>
      <c r="D24" s="15"/>
      <c r="E24" s="16">
        <f>E6+E22</f>
        <v>1349.05</v>
      </c>
      <c r="F24" s="15"/>
      <c r="G24" s="16">
        <f>G6+G22</f>
        <v>1023.33</v>
      </c>
      <c r="H24" s="67"/>
      <c r="I24" s="107">
        <f>G24+E24</f>
        <v>2372.38</v>
      </c>
      <c r="J24" s="63"/>
      <c r="K24" s="84"/>
    </row>
    <row r="25" spans="1:16" ht="15.75" thickBot="1" x14ac:dyDescent="0.3">
      <c r="C25" s="5"/>
      <c r="D25" s="5"/>
      <c r="E25" s="82"/>
      <c r="F25" s="83"/>
      <c r="G25" s="83"/>
      <c r="H25" s="63"/>
      <c r="I25" s="63"/>
      <c r="J25" s="63"/>
      <c r="K25" s="68"/>
      <c r="M25" s="36" t="s">
        <v>23</v>
      </c>
    </row>
    <row r="26" spans="1:16" ht="31.5" thickBot="1" x14ac:dyDescent="0.35">
      <c r="A26" s="20" t="str">
        <f>"Taux horaire chargé soit :     
"&amp;C24&amp;" € / "&amp;C3&amp;" heures"</f>
        <v>Taux horaire chargé soit :     
2714 € / 151,67 heures</v>
      </c>
      <c r="B26" s="18"/>
      <c r="C26" s="15">
        <f>ROUND(C24/C3,2)</f>
        <v>17.89</v>
      </c>
      <c r="D26" s="5"/>
      <c r="E26" s="82"/>
      <c r="F26" s="83"/>
      <c r="G26" s="85" t="s">
        <v>19</v>
      </c>
      <c r="H26" s="63"/>
      <c r="I26" s="108">
        <f>IF(G4&gt;(N4*4.5*70%),ROUND((N4*4.5*G3*70%)*-1,2),-ROUND((E4*G3*70%),2))</f>
        <v>-754.06</v>
      </c>
      <c r="J26" s="86" t="s">
        <v>45</v>
      </c>
      <c r="K26" s="68"/>
      <c r="M26" s="121" t="s">
        <v>24</v>
      </c>
    </row>
    <row r="27" spans="1:16" ht="15.75" thickBot="1" x14ac:dyDescent="0.3">
      <c r="A27" s="12"/>
      <c r="B27" s="2"/>
      <c r="D27" s="5"/>
      <c r="E27" s="82"/>
      <c r="F27" s="83"/>
      <c r="G27" s="83"/>
      <c r="H27" s="63"/>
      <c r="I27" s="63"/>
      <c r="J27" s="63"/>
      <c r="K27" s="68"/>
      <c r="M27" t="s">
        <v>49</v>
      </c>
    </row>
    <row r="28" spans="1:16" ht="30.75" thickBot="1" x14ac:dyDescent="0.35">
      <c r="A28" s="34" t="str">
        <f>"Taux jour chargé soit :   
 "&amp;C26&amp;" € * 7 heures"</f>
        <v>Taux jour chargé soit :   
 17,89 € * 7 heures</v>
      </c>
      <c r="B28" s="18"/>
      <c r="C28" s="35">
        <f>C26*7</f>
        <v>125.23</v>
      </c>
      <c r="D28" s="5"/>
      <c r="E28" s="82"/>
      <c r="F28" s="83"/>
      <c r="G28" s="87" t="s">
        <v>17</v>
      </c>
      <c r="H28" s="63"/>
      <c r="I28" s="109">
        <f>I24+I26</f>
        <v>1618.3200000000002</v>
      </c>
      <c r="J28" s="63"/>
      <c r="K28" s="68"/>
      <c r="M28" s="54" t="s">
        <v>56</v>
      </c>
    </row>
    <row r="29" spans="1:16" x14ac:dyDescent="0.25">
      <c r="A29" s="2"/>
      <c r="C29" s="5"/>
      <c r="D29" s="5"/>
      <c r="E29" s="82"/>
      <c r="F29" s="83"/>
      <c r="G29" s="83"/>
      <c r="H29" s="63"/>
      <c r="I29" s="63"/>
      <c r="J29" s="63"/>
      <c r="K29" s="88" t="s">
        <v>18</v>
      </c>
      <c r="M29" s="54" t="s">
        <v>57</v>
      </c>
    </row>
    <row r="30" spans="1:16" ht="30" x14ac:dyDescent="0.25">
      <c r="C30" s="5"/>
      <c r="D30" s="5"/>
      <c r="E30" s="82"/>
      <c r="F30" s="83"/>
      <c r="G30" s="78" t="str">
        <f>"Taux horaire chargé soit :     
"&amp;I28&amp;" €  / "&amp;E3&amp;" heures"</f>
        <v>Taux horaire chargé soit :     
1618,32 €  / 70 heures</v>
      </c>
      <c r="H30" s="63"/>
      <c r="I30" s="63">
        <f>IF(ISERROR((ROUND(I28/E3,2))),0,ROUND(I28/E3,2))</f>
        <v>23.12</v>
      </c>
      <c r="J30" s="63"/>
      <c r="K30" s="89">
        <f>I30-C26</f>
        <v>5.23</v>
      </c>
      <c r="N30" s="11"/>
      <c r="P30" s="11"/>
    </row>
    <row r="31" spans="1:16" x14ac:dyDescent="0.25">
      <c r="E31" s="82"/>
      <c r="F31" s="83"/>
      <c r="G31" s="83"/>
      <c r="H31" s="63"/>
      <c r="I31" s="63"/>
      <c r="J31" s="63"/>
      <c r="K31" s="68"/>
    </row>
    <row r="32" spans="1:16" ht="30.75" thickBot="1" x14ac:dyDescent="0.3">
      <c r="E32" s="90"/>
      <c r="F32" s="91"/>
      <c r="G32" s="92" t="str">
        <f>"Taux jour chargé soit :   
 "&amp;I30&amp;" € * 7 heures"</f>
        <v>Taux jour chargé soit :   
 23,12 € * 7 heures</v>
      </c>
      <c r="H32" s="93"/>
      <c r="I32" s="93">
        <f>I30*7</f>
        <v>161.84</v>
      </c>
      <c r="J32" s="93"/>
      <c r="K32" s="94">
        <f>I32-C28</f>
        <v>36.61</v>
      </c>
    </row>
    <row r="33" spans="5:11" x14ac:dyDescent="0.25">
      <c r="E33" s="5"/>
      <c r="F33" s="5"/>
      <c r="G33" s="6"/>
    </row>
    <row r="34" spans="5:11" x14ac:dyDescent="0.25">
      <c r="E34" s="5"/>
      <c r="F34" s="5"/>
      <c r="G34" s="6"/>
    </row>
    <row r="35" spans="5:11" x14ac:dyDescent="0.25">
      <c r="K35" s="33"/>
    </row>
  </sheetData>
  <mergeCells count="3">
    <mergeCell ref="E1:K1"/>
    <mergeCell ref="N10:O10"/>
    <mergeCell ref="M16:P16"/>
  </mergeCells>
  <hyperlinks>
    <hyperlink ref="M26" r:id="rId1" xr:uid="{6B8A7146-39F4-41A1-8D18-3617728A30A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Chomage_Partiel__Mars2020</vt:lpstr>
      <vt:lpstr>Chomage_Partiel_Syntec_Mars2020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Michel Bonfanti</dc:creator>
  <cp:lastModifiedBy>jean Michel Bonfanti</cp:lastModifiedBy>
  <dcterms:created xsi:type="dcterms:W3CDTF">2020-03-18T09:11:24Z</dcterms:created>
  <dcterms:modified xsi:type="dcterms:W3CDTF">2020-03-27T11:41:20Z</dcterms:modified>
</cp:coreProperties>
</file>